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38" i="1" l="1"/>
  <c r="B27" i="1"/>
  <c r="E22" i="2"/>
  <c r="E20" i="2"/>
  <c r="E17" i="2"/>
  <c r="E18" i="2"/>
  <c r="E16" i="2"/>
  <c r="D17" i="2"/>
  <c r="D18" i="2"/>
  <c r="D16" i="2"/>
  <c r="E15" i="2"/>
  <c r="D15" i="2"/>
  <c r="E14" i="2"/>
  <c r="F8" i="3" l="1"/>
  <c r="B10" i="3"/>
  <c r="B6" i="3"/>
  <c r="B3" i="3"/>
  <c r="E4" i="2"/>
  <c r="H4" i="2"/>
  <c r="E7" i="2"/>
  <c r="E6" i="2"/>
  <c r="E5" i="2"/>
  <c r="C22" i="1"/>
  <c r="D22" i="1"/>
  <c r="E22" i="1"/>
  <c r="F22" i="1"/>
  <c r="G22" i="1"/>
  <c r="H22" i="1"/>
  <c r="I22" i="1"/>
  <c r="B22" i="1"/>
  <c r="B36" i="1"/>
  <c r="B35" i="1"/>
  <c r="B34" i="1"/>
  <c r="B23" i="1"/>
  <c r="B24" i="1" s="1"/>
  <c r="C14" i="1"/>
  <c r="D16" i="1" l="1"/>
  <c r="D17" i="1" s="1"/>
  <c r="C16" i="1"/>
  <c r="C20" i="1" l="1"/>
  <c r="D20" i="1" s="1"/>
  <c r="E20" i="1" s="1"/>
  <c r="F20" i="1" s="1"/>
  <c r="G20" i="1" s="1"/>
  <c r="H20" i="1" s="1"/>
  <c r="I20" i="1" s="1"/>
  <c r="B37" i="1"/>
  <c r="B26" i="1"/>
  <c r="C17" i="1"/>
  <c r="B45" i="1" l="1"/>
  <c r="D50" i="1" s="1"/>
  <c r="C37" i="1"/>
  <c r="B39" i="1"/>
  <c r="B40" i="1" s="1"/>
  <c r="G16" i="1"/>
  <c r="G17" i="1"/>
  <c r="C27" i="1" s="1"/>
  <c r="G15" i="1"/>
  <c r="C23" i="1" s="1"/>
  <c r="C26" i="1"/>
  <c r="B28" i="1"/>
  <c r="B29" i="1" s="1"/>
  <c r="D26" i="1" l="1"/>
  <c r="C28" i="1"/>
  <c r="D27" i="1"/>
  <c r="C38" i="1"/>
  <c r="C39" i="1" s="1"/>
  <c r="C40" i="1" s="1"/>
  <c r="C24" i="1"/>
  <c r="D23" i="1"/>
  <c r="D37" i="1"/>
  <c r="C29" i="1" l="1"/>
  <c r="E37" i="1"/>
  <c r="E26" i="1"/>
  <c r="D28" i="1"/>
  <c r="E23" i="1"/>
  <c r="D24" i="1"/>
  <c r="E27" i="1"/>
  <c r="D38" i="1"/>
  <c r="D39" i="1" s="1"/>
  <c r="D40" i="1" s="1"/>
  <c r="F26" i="1" l="1"/>
  <c r="E28" i="1"/>
  <c r="D29" i="1"/>
  <c r="F23" i="1"/>
  <c r="E24" i="1"/>
  <c r="F37" i="1"/>
  <c r="F27" i="1"/>
  <c r="E38" i="1"/>
  <c r="E39" i="1" s="1"/>
  <c r="E40" i="1" s="1"/>
  <c r="E29" i="1" l="1"/>
  <c r="F28" i="1"/>
  <c r="G26" i="1"/>
  <c r="G27" i="1"/>
  <c r="F38" i="1"/>
  <c r="G23" i="1"/>
  <c r="F24" i="1"/>
  <c r="G37" i="1"/>
  <c r="F39" i="1"/>
  <c r="F40" i="1" s="1"/>
  <c r="F29" i="1" l="1"/>
  <c r="H37" i="1"/>
  <c r="H27" i="1"/>
  <c r="G38" i="1"/>
  <c r="G39" i="1" s="1"/>
  <c r="G40" i="1" s="1"/>
  <c r="H26" i="1"/>
  <c r="G28" i="1"/>
  <c r="H23" i="1"/>
  <c r="G24" i="1"/>
  <c r="G29" i="1" l="1"/>
  <c r="I23" i="1"/>
  <c r="I24" i="1" s="1"/>
  <c r="H24" i="1"/>
  <c r="I27" i="1"/>
  <c r="I38" i="1" s="1"/>
  <c r="H38" i="1"/>
  <c r="H39" i="1" s="1"/>
  <c r="H40" i="1" s="1"/>
  <c r="I37" i="1"/>
  <c r="I26" i="1"/>
  <c r="H28" i="1"/>
  <c r="I39" i="1" l="1"/>
  <c r="I40" i="1" s="1"/>
  <c r="B41" i="1" s="1"/>
  <c r="B42" i="1" s="1"/>
  <c r="I28" i="1"/>
  <c r="I29" i="1" s="1"/>
  <c r="B25" i="1"/>
  <c r="H29" i="1"/>
  <c r="B30" i="1" l="1"/>
  <c r="B31" i="1" s="1"/>
  <c r="B44" i="1" s="1"/>
  <c r="A78" i="1" l="1"/>
  <c r="A81" i="1"/>
  <c r="C50" i="1"/>
  <c r="C65" i="1"/>
</calcChain>
</file>

<file path=xl/sharedStrings.xml><?xml version="1.0" encoding="utf-8"?>
<sst xmlns="http://schemas.openxmlformats.org/spreadsheetml/2006/main" count="77" uniqueCount="54">
  <si>
    <t>Hotel Bulb Purchase Evaluation</t>
  </si>
  <si>
    <t>Given Information</t>
  </si>
  <si>
    <t># of hotels</t>
  </si>
  <si>
    <t>rooms per hotel</t>
  </si>
  <si>
    <t>bulbs per rooom</t>
  </si>
  <si>
    <t>ave hrs per day per bulb</t>
  </si>
  <si>
    <t>life expectancy (hours)</t>
  </si>
  <si>
    <t>incand.</t>
  </si>
  <si>
    <t>cfl</t>
  </si>
  <si>
    <t>cost per bulb</t>
  </si>
  <si>
    <t>Calculated Values</t>
  </si>
  <si>
    <t>life expectancy (days)</t>
  </si>
  <si>
    <t>Model Output</t>
  </si>
  <si>
    <t>period start date</t>
  </si>
  <si>
    <t># of bulbs used</t>
  </si>
  <si>
    <t>Incandescent</t>
  </si>
  <si>
    <t># purchased</t>
  </si>
  <si>
    <t>cost of purchase</t>
  </si>
  <si>
    <t>Compact florescent</t>
  </si>
  <si>
    <t>period</t>
  </si>
  <si>
    <t>annual rate</t>
  </si>
  <si>
    <t>period rate</t>
  </si>
  <si>
    <t>price</t>
  </si>
  <si>
    <t>Annual rates of increase</t>
  </si>
  <si>
    <t>Period rate of increse</t>
  </si>
  <si>
    <t>Incand. Cost</t>
  </si>
  <si>
    <t>Incand. cost</t>
  </si>
  <si>
    <t>life expectancy (years)</t>
  </si>
  <si>
    <t>5year rate</t>
  </si>
  <si>
    <t>start</t>
  </si>
  <si>
    <t>in 5 years</t>
  </si>
  <si>
    <t>NPV</t>
  </si>
  <si>
    <t>NPV of Purchase</t>
  </si>
  <si>
    <t>discount rate</t>
  </si>
  <si>
    <t>watts</t>
  </si>
  <si>
    <t>electric cost ($/kwh)</t>
  </si>
  <si>
    <t>energy used (KWH)</t>
  </si>
  <si>
    <t>energy cost( $/khw)</t>
  </si>
  <si>
    <t>total energy cost</t>
  </si>
  <si>
    <t>energy cost</t>
  </si>
  <si>
    <t>total cost</t>
  </si>
  <si>
    <t>NPV of total cost</t>
  </si>
  <si>
    <t>Ave annual cost (today's $)</t>
  </si>
  <si>
    <t>Ave annual savings from CFL</t>
  </si>
  <si>
    <t>Annual energy savings (kwh)</t>
  </si>
  <si>
    <t>Sensitivity Analysis</t>
  </si>
  <si>
    <t>Ave hours per day</t>
  </si>
  <si>
    <t>$ savings</t>
  </si>
  <si>
    <t>kwh savings</t>
  </si>
  <si>
    <t>ave annual</t>
  </si>
  <si>
    <t>annual rate of inc. for incand.</t>
  </si>
  <si>
    <t>annual rates of increase for energy costs</t>
  </si>
  <si>
    <t>Ave annual $ savings</t>
  </si>
  <si>
    <t>Desired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</si>
</sst>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_(&quot;$&quot;* #,##0.000_);_(&quot;$&quot;* \(#,##0.0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2" borderId="0" xfId="0" applyFill="1"/>
    <xf numFmtId="0" fontId="0" fillId="3" borderId="0" xfId="0" applyFill="1"/>
    <xf numFmtId="0" fontId="2" fillId="2" borderId="0" xfId="0" applyFont="1" applyFill="1"/>
    <xf numFmtId="0" fontId="2" fillId="3" borderId="0" xfId="0" applyFont="1" applyFill="1"/>
    <xf numFmtId="44" fontId="0" fillId="0" borderId="0" xfId="2" applyFont="1"/>
    <xf numFmtId="164" fontId="0" fillId="0" borderId="0" xfId="1" applyNumberFormat="1" applyFont="1"/>
    <xf numFmtId="14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44" fontId="0" fillId="0" borderId="0" xfId="0" applyNumberFormat="1"/>
    <xf numFmtId="165" fontId="0" fillId="0" borderId="0" xfId="2" applyNumberFormat="1" applyFont="1"/>
    <xf numFmtId="9" fontId="0" fillId="0" borderId="0" xfId="3" applyFont="1"/>
    <xf numFmtId="166" fontId="0" fillId="0" borderId="0" xfId="3" applyNumberFormat="1" applyFont="1"/>
    <xf numFmtId="44" fontId="0" fillId="0" borderId="0" xfId="2" applyNumberFormat="1" applyFont="1"/>
    <xf numFmtId="165" fontId="0" fillId="0" borderId="0" xfId="0" applyNumberFormat="1"/>
    <xf numFmtId="8" fontId="0" fillId="0" borderId="0" xfId="0" applyNumberFormat="1"/>
    <xf numFmtId="167" fontId="0" fillId="0" borderId="0" xfId="2" applyNumberFormat="1" applyFont="1"/>
    <xf numFmtId="167" fontId="0" fillId="0" borderId="0" xfId="0" applyNumberFormat="1"/>
    <xf numFmtId="164" fontId="3" fillId="0" borderId="0" xfId="1" applyNumberFormat="1" applyFont="1"/>
    <xf numFmtId="0" fontId="2" fillId="3" borderId="0" xfId="0" applyFont="1" applyFill="1" applyAlignment="1">
      <alignment horizontal="left"/>
    </xf>
    <xf numFmtId="165" fontId="0" fillId="0" borderId="1" xfId="2" applyNumberFormat="1" applyFont="1" applyBorder="1"/>
    <xf numFmtId="164" fontId="0" fillId="0" borderId="1" xfId="1" applyNumberFormat="1" applyFont="1" applyBorder="1"/>
    <xf numFmtId="165" fontId="0" fillId="4" borderId="0" xfId="0" applyNumberFormat="1" applyFill="1"/>
    <xf numFmtId="164" fontId="0" fillId="4" borderId="0" xfId="1" applyNumberFormat="1" applyFont="1" applyFill="1"/>
    <xf numFmtId="165" fontId="0" fillId="5" borderId="0" xfId="2" applyNumberFormat="1" applyFont="1" applyFill="1"/>
    <xf numFmtId="0" fontId="0" fillId="6" borderId="0" xfId="0" applyFill="1"/>
    <xf numFmtId="166" fontId="0" fillId="6" borderId="0" xfId="3" applyNumberFormat="1" applyFont="1" applyFill="1"/>
    <xf numFmtId="9" fontId="0" fillId="6" borderId="0" xfId="3" applyFont="1" applyFill="1"/>
    <xf numFmtId="9" fontId="0" fillId="0" borderId="1" xfId="3" applyFont="1" applyBorder="1"/>
    <xf numFmtId="9" fontId="0" fillId="0" borderId="1" xfId="3" applyFont="1" applyFill="1" applyBorder="1"/>
    <xf numFmtId="0" fontId="0" fillId="0" borderId="1" xfId="0" applyBorder="1"/>
    <xf numFmtId="165" fontId="0" fillId="0" borderId="1" xfId="0" applyNumberForma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3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Ave Annual Savings from CFL's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Sheet1!$D$49</c:f>
              <c:strCache>
                <c:ptCount val="1"/>
                <c:pt idx="0">
                  <c:v>kwh savings</c:v>
                </c:pt>
              </c:strCache>
            </c:strRef>
          </c:tx>
          <c:xVal>
            <c:numRef>
              <c:f>Sheet1!$B$51:$B$61</c:f>
              <c:numCache>
                <c:formatCode>General</c:formatCode>
                <c:ptCount val="11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</c:numCache>
            </c:numRef>
          </c:xVal>
          <c:yVal>
            <c:numRef>
              <c:f>Sheet1!$D$51:$D$61</c:f>
              <c:numCache>
                <c:formatCode>_(* #,##0_);_(* \(#,##0\);_(* "-"??_);_(@_)</c:formatCode>
                <c:ptCount val="11"/>
                <c:pt idx="0">
                  <c:v>360255</c:v>
                </c:pt>
                <c:pt idx="1">
                  <c:v>540382.5</c:v>
                </c:pt>
                <c:pt idx="2">
                  <c:v>720510</c:v>
                </c:pt>
                <c:pt idx="3">
                  <c:v>900637.5</c:v>
                </c:pt>
                <c:pt idx="4">
                  <c:v>1080765</c:v>
                </c:pt>
                <c:pt idx="5">
                  <c:v>1260892.5</c:v>
                </c:pt>
                <c:pt idx="6">
                  <c:v>1441020</c:v>
                </c:pt>
                <c:pt idx="7">
                  <c:v>1621147.4999999998</c:v>
                </c:pt>
                <c:pt idx="8">
                  <c:v>1801275</c:v>
                </c:pt>
                <c:pt idx="9">
                  <c:v>1981402.4999999998</c:v>
                </c:pt>
                <c:pt idx="10">
                  <c:v>2161530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993920"/>
        <c:axId val="172350464"/>
      </c:scatterChart>
      <c:scatterChart>
        <c:scatterStyle val="lineMarker"/>
        <c:varyColors val="0"/>
        <c:ser>
          <c:idx val="0"/>
          <c:order val="0"/>
          <c:tx>
            <c:strRef>
              <c:f>Sheet1!$C$49</c:f>
              <c:strCache>
                <c:ptCount val="1"/>
                <c:pt idx="0">
                  <c:v>$ savings</c:v>
                </c:pt>
              </c:strCache>
            </c:strRef>
          </c:tx>
          <c:xVal>
            <c:numRef>
              <c:f>Sheet1!$B$51:$B$61</c:f>
              <c:numCache>
                <c:formatCode>General</c:formatCode>
                <c:ptCount val="11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</c:numCache>
            </c:numRef>
          </c:xVal>
          <c:yVal>
            <c:numRef>
              <c:f>Sheet1!$C$51:$C$61</c:f>
              <c:numCache>
                <c:formatCode>_("$"* #,##0_);_("$"* \(#,##0\);_("$"* "-"??_);_(@_)</c:formatCode>
                <c:ptCount val="11"/>
                <c:pt idx="0">
                  <c:v>34305.848970364226</c:v>
                </c:pt>
                <c:pt idx="1">
                  <c:v>59853.512843788281</c:v>
                </c:pt>
                <c:pt idx="2">
                  <c:v>86428.854820731111</c:v>
                </c:pt>
                <c:pt idx="3">
                  <c:v>113484.57541428682</c:v>
                </c:pt>
                <c:pt idx="4">
                  <c:v>140802.65039550018</c:v>
                </c:pt>
                <c:pt idx="5">
                  <c:v>168279.47906225969</c:v>
                </c:pt>
                <c:pt idx="6">
                  <c:v>195859.60999369645</c:v>
                </c:pt>
                <c:pt idx="7">
                  <c:v>223510.70396615734</c:v>
                </c:pt>
                <c:pt idx="8">
                  <c:v>251212.63667259185</c:v>
                </c:pt>
                <c:pt idx="9">
                  <c:v>278952.23221333436</c:v>
                </c:pt>
                <c:pt idx="10">
                  <c:v>306720.5038146053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8254080"/>
        <c:axId val="318015744"/>
      </c:scatterChart>
      <c:valAx>
        <c:axId val="234993920"/>
        <c:scaling>
          <c:orientation val="minMax"/>
          <c:max val="7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 hours used per 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2350464"/>
        <c:crosses val="autoZero"/>
        <c:crossBetween val="midCat"/>
        <c:majorUnit val="1"/>
      </c:valAx>
      <c:valAx>
        <c:axId val="172350464"/>
        <c:scaling>
          <c:orientation val="minMax"/>
          <c:max val="3000000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234993920"/>
        <c:crosses val="autoZero"/>
        <c:crossBetween val="midCat"/>
      </c:valAx>
      <c:valAx>
        <c:axId val="318015744"/>
        <c:scaling>
          <c:orientation val="minMax"/>
        </c:scaling>
        <c:delete val="0"/>
        <c:axPos val="r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318254080"/>
        <c:crosses val="max"/>
        <c:crossBetween val="midCat"/>
      </c:valAx>
      <c:valAx>
        <c:axId val="318254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8015744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246063</xdr:colOff>
      <xdr:row>47</xdr:row>
      <xdr:rowOff>104776</xdr:rowOff>
    </xdr:from>
    <xdr:to>
      <xdr:col>10</xdr:col>
      <xdr:colOff>103188</xdr:colOff>
      <xdr:row>61</xdr:row>
      <xdr:rowOff>180976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1"/>
  <sheetViews>
    <sheetView tabSelected="1" topLeftCell="A73" zoomScale="120" zoomScaleNormal="120" workbookViewId="0">
      <selection activeCell="G93" sqref="G93"/>
    </sheetView>
  </sheetViews>
  <sheetFormatPr defaultRowHeight="15" x14ac:dyDescent="0.25"/>
  <cols>
    <col min="1" max="1" width="27.140625" customWidth="1"/>
    <col min="2" max="2" width="26.7109375" customWidth="1"/>
    <col min="3" max="3" width="13" bestFit="1" customWidth="1"/>
    <col min="4" max="4" width="11.42578125" customWidth="1"/>
    <col min="5" max="5" width="11.28515625" customWidth="1"/>
    <col min="6" max="6" width="11.85546875" customWidth="1"/>
    <col min="7" max="7" width="12.140625" customWidth="1"/>
    <col min="8" max="8" width="13.42578125" customWidth="1"/>
    <col min="9" max="9" width="12.7109375" customWidth="1"/>
  </cols>
  <sheetData>
    <row r="1" spans="1:9" x14ac:dyDescent="0.25">
      <c r="A1" s="3" t="s">
        <v>0</v>
      </c>
      <c r="B1" s="1"/>
      <c r="C1" s="1"/>
      <c r="D1" s="1"/>
      <c r="E1" s="1"/>
      <c r="F1" s="1"/>
      <c r="G1" s="1"/>
      <c r="H1" s="1"/>
      <c r="I1" s="1"/>
    </row>
    <row r="3" spans="1:9" x14ac:dyDescent="0.25">
      <c r="A3" s="4" t="s">
        <v>1</v>
      </c>
      <c r="B3" s="4"/>
      <c r="C3" s="4"/>
      <c r="D3" s="4"/>
      <c r="E3" s="4"/>
      <c r="F3" s="4"/>
      <c r="G3" s="4"/>
      <c r="H3" s="4"/>
      <c r="I3" s="2"/>
    </row>
    <row r="4" spans="1:9" x14ac:dyDescent="0.25">
      <c r="B4" t="s">
        <v>2</v>
      </c>
      <c r="C4">
        <v>14</v>
      </c>
      <c r="F4" t="s">
        <v>23</v>
      </c>
    </row>
    <row r="5" spans="1:9" x14ac:dyDescent="0.25">
      <c r="B5" t="s">
        <v>3</v>
      </c>
      <c r="C5">
        <v>300</v>
      </c>
      <c r="F5" t="s">
        <v>26</v>
      </c>
      <c r="G5" s="28">
        <v>0.02</v>
      </c>
    </row>
    <row r="6" spans="1:9" x14ac:dyDescent="0.25">
      <c r="B6" t="s">
        <v>4</v>
      </c>
      <c r="C6">
        <v>5</v>
      </c>
      <c r="F6" t="s">
        <v>33</v>
      </c>
      <c r="G6" s="12">
        <v>0.08</v>
      </c>
    </row>
    <row r="7" spans="1:9" x14ac:dyDescent="0.25">
      <c r="B7" t="s">
        <v>5</v>
      </c>
      <c r="C7" s="26">
        <v>4</v>
      </c>
      <c r="F7" t="s">
        <v>39</v>
      </c>
      <c r="G7" s="27">
        <v>3.4000000000000002E-2</v>
      </c>
    </row>
    <row r="8" spans="1:9" x14ac:dyDescent="0.25">
      <c r="B8" t="s">
        <v>35</v>
      </c>
      <c r="C8" s="17">
        <v>0.155</v>
      </c>
    </row>
    <row r="9" spans="1:9" x14ac:dyDescent="0.25">
      <c r="C9" t="s">
        <v>7</v>
      </c>
      <c r="D9" t="s">
        <v>8</v>
      </c>
    </row>
    <row r="10" spans="1:9" x14ac:dyDescent="0.25">
      <c r="B10" t="s">
        <v>6</v>
      </c>
      <c r="C10" s="6">
        <v>1200</v>
      </c>
      <c r="D10" s="6">
        <v>9600</v>
      </c>
    </row>
    <row r="11" spans="1:9" x14ac:dyDescent="0.25">
      <c r="B11" t="s">
        <v>9</v>
      </c>
      <c r="C11" s="5">
        <v>0.5</v>
      </c>
      <c r="D11" s="5">
        <v>4</v>
      </c>
      <c r="H11" s="9"/>
    </row>
    <row r="12" spans="1:9" x14ac:dyDescent="0.25">
      <c r="B12" t="s">
        <v>34</v>
      </c>
      <c r="C12">
        <v>60</v>
      </c>
      <c r="D12">
        <v>13</v>
      </c>
    </row>
    <row r="13" spans="1:9" x14ac:dyDescent="0.25">
      <c r="A13" s="4" t="s">
        <v>10</v>
      </c>
      <c r="B13" s="4"/>
      <c r="C13" s="4"/>
      <c r="D13" s="4"/>
      <c r="E13" s="4"/>
      <c r="F13" s="4"/>
      <c r="G13" s="4"/>
      <c r="H13" s="4"/>
      <c r="I13" s="2"/>
    </row>
    <row r="14" spans="1:9" x14ac:dyDescent="0.25">
      <c r="B14" t="s">
        <v>14</v>
      </c>
      <c r="C14" s="6">
        <f>C4*C5*C6</f>
        <v>21000</v>
      </c>
      <c r="F14" t="s">
        <v>24</v>
      </c>
    </row>
    <row r="15" spans="1:9" x14ac:dyDescent="0.25">
      <c r="C15" t="s">
        <v>7</v>
      </c>
      <c r="D15" t="s">
        <v>8</v>
      </c>
      <c r="F15" t="s">
        <v>25</v>
      </c>
      <c r="G15" s="13">
        <f>(1+G5)^C17-1</f>
        <v>1.640930981981259E-2</v>
      </c>
    </row>
    <row r="16" spans="1:9" x14ac:dyDescent="0.25">
      <c r="B16" t="s">
        <v>11</v>
      </c>
      <c r="C16">
        <f>C10/C7</f>
        <v>300</v>
      </c>
      <c r="D16">
        <f>D10/C7</f>
        <v>2400</v>
      </c>
      <c r="F16" t="s">
        <v>33</v>
      </c>
      <c r="G16" s="13">
        <f>(1+G6)^C17-1</f>
        <v>6.5299148414283081E-2</v>
      </c>
    </row>
    <row r="17" spans="1:11" x14ac:dyDescent="0.25">
      <c r="B17" t="s">
        <v>27</v>
      </c>
      <c r="C17">
        <f>C16/365</f>
        <v>0.82191780821917804</v>
      </c>
      <c r="D17">
        <f>D16/365</f>
        <v>6.5753424657534243</v>
      </c>
      <c r="F17" t="s">
        <v>39</v>
      </c>
      <c r="G17" s="13">
        <f>(1+G7)^C17-1</f>
        <v>2.7861713331820193E-2</v>
      </c>
    </row>
    <row r="18" spans="1:11" x14ac:dyDescent="0.25">
      <c r="A18" s="4" t="s">
        <v>12</v>
      </c>
      <c r="B18" s="4"/>
      <c r="C18" s="4"/>
      <c r="D18" s="4"/>
      <c r="E18" s="4"/>
      <c r="F18" s="4"/>
      <c r="G18" s="4"/>
      <c r="H18" s="4"/>
      <c r="I18" s="2"/>
    </row>
    <row r="20" spans="1:11" x14ac:dyDescent="0.25">
      <c r="A20" t="s">
        <v>13</v>
      </c>
      <c r="B20" s="7">
        <v>42050</v>
      </c>
      <c r="C20" s="7">
        <f>B20+$C16</f>
        <v>42350</v>
      </c>
      <c r="D20" s="7">
        <f t="shared" ref="D20:I20" si="0">C20+$C16</f>
        <v>42650</v>
      </c>
      <c r="E20" s="7">
        <f t="shared" si="0"/>
        <v>42950</v>
      </c>
      <c r="F20" s="7">
        <f t="shared" si="0"/>
        <v>43250</v>
      </c>
      <c r="G20" s="7">
        <f t="shared" si="0"/>
        <v>43550</v>
      </c>
      <c r="H20" s="7">
        <f t="shared" si="0"/>
        <v>43850</v>
      </c>
      <c r="I20" s="7">
        <f t="shared" si="0"/>
        <v>44150</v>
      </c>
    </row>
    <row r="21" spans="1:11" x14ac:dyDescent="0.25">
      <c r="A21" t="s">
        <v>15</v>
      </c>
    </row>
    <row r="22" spans="1:11" x14ac:dyDescent="0.25">
      <c r="A22" s="8" t="s">
        <v>16</v>
      </c>
      <c r="B22" s="9">
        <f>$C14</f>
        <v>21000</v>
      </c>
      <c r="C22" s="9">
        <f t="shared" ref="C22:I22" si="1">$C14</f>
        <v>21000</v>
      </c>
      <c r="D22" s="9">
        <f t="shared" si="1"/>
        <v>21000</v>
      </c>
      <c r="E22" s="9">
        <f t="shared" si="1"/>
        <v>21000</v>
      </c>
      <c r="F22" s="9">
        <f t="shared" si="1"/>
        <v>21000</v>
      </c>
      <c r="G22" s="9">
        <f t="shared" si="1"/>
        <v>21000</v>
      </c>
      <c r="H22" s="9">
        <f t="shared" si="1"/>
        <v>21000</v>
      </c>
      <c r="I22" s="9">
        <f t="shared" si="1"/>
        <v>21000</v>
      </c>
    </row>
    <row r="23" spans="1:11" x14ac:dyDescent="0.25">
      <c r="A23" s="8" t="s">
        <v>9</v>
      </c>
      <c r="B23" s="10">
        <f>C11</f>
        <v>0.5</v>
      </c>
      <c r="C23" s="14">
        <f>B23*(1+$G15)</f>
        <v>0.50820465490990629</v>
      </c>
      <c r="D23" s="14">
        <f t="shared" ref="D23:I23" si="2">C23*(1+$G15)</f>
        <v>0.51654394254419389</v>
      </c>
      <c r="E23" s="14">
        <f t="shared" si="2"/>
        <v>0.52502007213294899</v>
      </c>
      <c r="F23" s="14">
        <f t="shared" si="2"/>
        <v>0.53363528915819891</v>
      </c>
      <c r="G23" s="14">
        <f t="shared" si="2"/>
        <v>0.54239187594878102</v>
      </c>
      <c r="H23" s="14">
        <f t="shared" si="2"/>
        <v>0.55129215228497397</v>
      </c>
      <c r="I23" s="14">
        <f t="shared" si="2"/>
        <v>0.56033847601304942</v>
      </c>
    </row>
    <row r="24" spans="1:11" x14ac:dyDescent="0.25">
      <c r="A24" s="8" t="s">
        <v>17</v>
      </c>
      <c r="B24" s="25">
        <f>B23*B22</f>
        <v>10500</v>
      </c>
      <c r="C24" s="11">
        <f t="shared" ref="C24:I24" si="3">C23*C22</f>
        <v>10672.297753108032</v>
      </c>
      <c r="D24" s="11">
        <f t="shared" si="3"/>
        <v>10847.422793428072</v>
      </c>
      <c r="E24" s="11">
        <f t="shared" si="3"/>
        <v>11025.421514791929</v>
      </c>
      <c r="F24" s="11">
        <f t="shared" si="3"/>
        <v>11206.341072322177</v>
      </c>
      <c r="G24" s="11">
        <f t="shared" si="3"/>
        <v>11390.229394924401</v>
      </c>
      <c r="H24" s="11">
        <f t="shared" si="3"/>
        <v>11577.135197984453</v>
      </c>
      <c r="I24" s="11">
        <f t="shared" si="3"/>
        <v>11767.107996274039</v>
      </c>
      <c r="K24" s="15"/>
    </row>
    <row r="25" spans="1:11" x14ac:dyDescent="0.25">
      <c r="A25" s="8" t="s">
        <v>32</v>
      </c>
      <c r="B25" s="15">
        <f>B24+NPV(G16,C24:I24)</f>
        <v>71677.374975627637</v>
      </c>
    </row>
    <row r="26" spans="1:11" x14ac:dyDescent="0.25">
      <c r="A26" s="8" t="s">
        <v>36</v>
      </c>
      <c r="B26" s="6">
        <f>(C12*C14/1000)*(C7*C16)</f>
        <v>1512000</v>
      </c>
      <c r="C26" s="9">
        <f>B26</f>
        <v>1512000</v>
      </c>
      <c r="D26" s="9">
        <f t="shared" ref="D26:I26" si="4">C26</f>
        <v>1512000</v>
      </c>
      <c r="E26" s="9">
        <f t="shared" si="4"/>
        <v>1512000</v>
      </c>
      <c r="F26" s="9">
        <f t="shared" si="4"/>
        <v>1512000</v>
      </c>
      <c r="G26" s="9">
        <f t="shared" si="4"/>
        <v>1512000</v>
      </c>
      <c r="H26" s="9">
        <f t="shared" si="4"/>
        <v>1512000</v>
      </c>
      <c r="I26" s="9">
        <f t="shared" si="4"/>
        <v>1512000</v>
      </c>
    </row>
    <row r="27" spans="1:11" x14ac:dyDescent="0.25">
      <c r="A27" s="8" t="s">
        <v>37</v>
      </c>
      <c r="B27" s="18">
        <f>C8</f>
        <v>0.155</v>
      </c>
      <c r="C27" s="17">
        <f>B27*(1+$G17)</f>
        <v>0.15931856556643212</v>
      </c>
      <c r="D27" s="17">
        <f t="shared" ref="D27:I27" si="5">C27*(1+$G17)</f>
        <v>0.16375745376868084</v>
      </c>
      <c r="E27" s="17">
        <f t="shared" si="5"/>
        <v>0.16832001700153262</v>
      </c>
      <c r="F27" s="17">
        <f t="shared" si="5"/>
        <v>0.17300970106323643</v>
      </c>
      <c r="G27" s="17">
        <f t="shared" si="5"/>
        <v>0.17783004775788422</v>
      </c>
      <c r="H27" s="17">
        <f t="shared" si="5"/>
        <v>0.18278469757029828</v>
      </c>
      <c r="I27" s="17">
        <f t="shared" si="5"/>
        <v>0.18787739241544538</v>
      </c>
    </row>
    <row r="28" spans="1:11" x14ac:dyDescent="0.25">
      <c r="A28" s="8" t="s">
        <v>38</v>
      </c>
      <c r="B28" s="15">
        <f>B26*B27</f>
        <v>234360</v>
      </c>
      <c r="C28" s="15">
        <f>C26*C27</f>
        <v>240889.67113644537</v>
      </c>
      <c r="D28" s="15">
        <f t="shared" ref="D28:I28" si="6">D26*D27</f>
        <v>247601.27009824544</v>
      </c>
      <c r="E28" s="15">
        <f t="shared" si="6"/>
        <v>254499.86570631733</v>
      </c>
      <c r="F28" s="15">
        <f t="shared" si="6"/>
        <v>261590.66800761348</v>
      </c>
      <c r="G28" s="15">
        <f t="shared" si="6"/>
        <v>268879.03220992093</v>
      </c>
      <c r="H28" s="15">
        <f t="shared" si="6"/>
        <v>276370.46272629098</v>
      </c>
      <c r="I28" s="15">
        <f t="shared" si="6"/>
        <v>284070.61733215343</v>
      </c>
    </row>
    <row r="29" spans="1:11" x14ac:dyDescent="0.25">
      <c r="A29" s="8" t="s">
        <v>40</v>
      </c>
      <c r="B29" s="15">
        <f>B24+B28</f>
        <v>244860</v>
      </c>
      <c r="C29" s="15">
        <f t="shared" ref="C29:I29" si="7">C24+C28</f>
        <v>251561.96888955339</v>
      </c>
      <c r="D29" s="15">
        <f t="shared" si="7"/>
        <v>258448.69289167351</v>
      </c>
      <c r="E29" s="15">
        <f t="shared" si="7"/>
        <v>265525.28722110926</v>
      </c>
      <c r="F29" s="15">
        <f t="shared" si="7"/>
        <v>272797.00907993567</v>
      </c>
      <c r="G29" s="15">
        <f t="shared" si="7"/>
        <v>280269.26160484535</v>
      </c>
      <c r="H29" s="15">
        <f t="shared" si="7"/>
        <v>287947.59792427544</v>
      </c>
      <c r="I29" s="15">
        <f t="shared" si="7"/>
        <v>295837.72532842745</v>
      </c>
    </row>
    <row r="30" spans="1:11" x14ac:dyDescent="0.25">
      <c r="A30" s="8" t="s">
        <v>41</v>
      </c>
      <c r="B30" s="15">
        <f>B29+NPV(G16,C29:I29)</f>
        <v>1731464.5697949831</v>
      </c>
    </row>
    <row r="31" spans="1:11" x14ac:dyDescent="0.25">
      <c r="A31" s="8" t="s">
        <v>42</v>
      </c>
      <c r="B31" s="15">
        <f>B30/D17</f>
        <v>263326.90332298703</v>
      </c>
    </row>
    <row r="33" spans="1:9" x14ac:dyDescent="0.25">
      <c r="A33" s="8" t="s">
        <v>18</v>
      </c>
    </row>
    <row r="34" spans="1:9" x14ac:dyDescent="0.25">
      <c r="A34" s="8" t="s">
        <v>16</v>
      </c>
      <c r="B34" s="9">
        <f>C14</f>
        <v>21000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8" t="s">
        <v>9</v>
      </c>
      <c r="B35" s="10">
        <f>D11</f>
        <v>4</v>
      </c>
    </row>
    <row r="36" spans="1:9" x14ac:dyDescent="0.25">
      <c r="A36" s="8" t="s">
        <v>17</v>
      </c>
      <c r="B36" s="25">
        <f>B34*B35</f>
        <v>84000</v>
      </c>
    </row>
    <row r="37" spans="1:9" x14ac:dyDescent="0.25">
      <c r="A37" s="8" t="s">
        <v>36</v>
      </c>
      <c r="B37" s="19">
        <f>(D12*C14/1000)*(C7*C16)</f>
        <v>327600</v>
      </c>
      <c r="C37" s="9">
        <f>B37</f>
        <v>327600</v>
      </c>
      <c r="D37" s="9">
        <f t="shared" ref="D37:I37" si="8">C37</f>
        <v>327600</v>
      </c>
      <c r="E37" s="9">
        <f t="shared" si="8"/>
        <v>327600</v>
      </c>
      <c r="F37" s="9">
        <f t="shared" si="8"/>
        <v>327600</v>
      </c>
      <c r="G37" s="9">
        <f t="shared" si="8"/>
        <v>327600</v>
      </c>
      <c r="H37" s="9">
        <f t="shared" si="8"/>
        <v>327600</v>
      </c>
      <c r="I37" s="9">
        <f t="shared" si="8"/>
        <v>327600</v>
      </c>
    </row>
    <row r="38" spans="1:9" x14ac:dyDescent="0.25">
      <c r="A38" s="8" t="s">
        <v>37</v>
      </c>
      <c r="B38" s="18">
        <f>B27</f>
        <v>0.155</v>
      </c>
      <c r="C38" s="18">
        <f>C27</f>
        <v>0.15931856556643212</v>
      </c>
      <c r="D38" s="18">
        <f t="shared" ref="D38:I38" si="9">D27</f>
        <v>0.16375745376868084</v>
      </c>
      <c r="E38" s="18">
        <f t="shared" si="9"/>
        <v>0.16832001700153262</v>
      </c>
      <c r="F38" s="18">
        <f t="shared" si="9"/>
        <v>0.17300970106323643</v>
      </c>
      <c r="G38" s="18">
        <f t="shared" si="9"/>
        <v>0.17783004775788422</v>
      </c>
      <c r="H38" s="18">
        <f t="shared" si="9"/>
        <v>0.18278469757029828</v>
      </c>
      <c r="I38" s="18">
        <f t="shared" si="9"/>
        <v>0.18787739241544538</v>
      </c>
    </row>
    <row r="39" spans="1:9" x14ac:dyDescent="0.25">
      <c r="A39" s="8" t="s">
        <v>38</v>
      </c>
      <c r="B39" s="11">
        <f>B37*B38</f>
        <v>50778</v>
      </c>
      <c r="C39" s="11">
        <f>C37*C38</f>
        <v>52192.762079563159</v>
      </c>
      <c r="D39" s="11">
        <f t="shared" ref="D39:I39" si="10">D37*D38</f>
        <v>53646.941854619843</v>
      </c>
      <c r="E39" s="11">
        <f t="shared" si="10"/>
        <v>55141.637569702085</v>
      </c>
      <c r="F39" s="11">
        <f t="shared" si="10"/>
        <v>56677.978068316253</v>
      </c>
      <c r="G39" s="11">
        <f t="shared" si="10"/>
        <v>58257.123645482869</v>
      </c>
      <c r="H39" s="11">
        <f t="shared" si="10"/>
        <v>59880.266924029718</v>
      </c>
      <c r="I39" s="11">
        <f t="shared" si="10"/>
        <v>61548.633755299903</v>
      </c>
    </row>
    <row r="40" spans="1:9" x14ac:dyDescent="0.25">
      <c r="A40" s="8" t="s">
        <v>40</v>
      </c>
      <c r="B40" s="15">
        <f>B36+B39</f>
        <v>134778</v>
      </c>
      <c r="C40" s="15">
        <f t="shared" ref="C40:I40" si="11">C36+C39</f>
        <v>52192.762079563159</v>
      </c>
      <c r="D40" s="15">
        <f t="shared" si="11"/>
        <v>53646.941854619843</v>
      </c>
      <c r="E40" s="15">
        <f t="shared" si="11"/>
        <v>55141.637569702085</v>
      </c>
      <c r="F40" s="15">
        <f t="shared" si="11"/>
        <v>56677.978068316253</v>
      </c>
      <c r="G40" s="15">
        <f t="shared" si="11"/>
        <v>58257.123645482869</v>
      </c>
      <c r="H40" s="15">
        <f t="shared" si="11"/>
        <v>59880.266924029718</v>
      </c>
      <c r="I40" s="15">
        <f t="shared" si="11"/>
        <v>61548.633755299903</v>
      </c>
    </row>
    <row r="41" spans="1:9" x14ac:dyDescent="0.25">
      <c r="A41" s="8" t="s">
        <v>41</v>
      </c>
      <c r="B41" s="15">
        <f>B40+NPV(G16,C40:I40)</f>
        <v>443620.55887752702</v>
      </c>
    </row>
    <row r="42" spans="1:9" x14ac:dyDescent="0.25">
      <c r="A42" s="8" t="s">
        <v>42</v>
      </c>
      <c r="B42" s="15">
        <f>B41/D17</f>
        <v>67467.293329290565</v>
      </c>
    </row>
    <row r="44" spans="1:9" x14ac:dyDescent="0.25">
      <c r="A44" s="8" t="s">
        <v>43</v>
      </c>
      <c r="B44" s="23">
        <f>B31-B42</f>
        <v>195859.60999369645</v>
      </c>
    </row>
    <row r="45" spans="1:9" x14ac:dyDescent="0.25">
      <c r="A45" s="8" t="s">
        <v>44</v>
      </c>
      <c r="B45" s="24">
        <f>(B26-B37)/C17</f>
        <v>1441020</v>
      </c>
    </row>
    <row r="47" spans="1:9" x14ac:dyDescent="0.25">
      <c r="A47" s="20" t="s">
        <v>45</v>
      </c>
      <c r="B47" s="4"/>
      <c r="C47" s="4"/>
      <c r="D47" s="4"/>
      <c r="E47" s="4"/>
      <c r="F47" s="4"/>
      <c r="G47" s="4"/>
      <c r="H47" s="4"/>
      <c r="I47" s="4"/>
    </row>
    <row r="48" spans="1:9" x14ac:dyDescent="0.25">
      <c r="C48" t="s">
        <v>49</v>
      </c>
      <c r="D48" t="s">
        <v>49</v>
      </c>
    </row>
    <row r="49" spans="2:4" x14ac:dyDescent="0.25">
      <c r="B49" t="s">
        <v>46</v>
      </c>
      <c r="C49" t="s">
        <v>47</v>
      </c>
      <c r="D49" t="s">
        <v>48</v>
      </c>
    </row>
    <row r="50" spans="2:4" x14ac:dyDescent="0.25">
      <c r="C50" s="15">
        <f>B44</f>
        <v>195859.60999369645</v>
      </c>
      <c r="D50" s="9">
        <f>B45</f>
        <v>1441020</v>
      </c>
    </row>
    <row r="51" spans="2:4" x14ac:dyDescent="0.25">
      <c r="B51">
        <v>1</v>
      </c>
      <c r="C51" s="21">
        <f t="dataTable" ref="C51:D61" dt2D="0" dtr="0" r1="C7" ca="1"/>
        <v>34305.848970364226</v>
      </c>
      <c r="D51" s="22">
        <v>360255</v>
      </c>
    </row>
    <row r="52" spans="2:4" x14ac:dyDescent="0.25">
      <c r="B52">
        <v>1.5</v>
      </c>
      <c r="C52" s="21">
        <v>59853.512843788281</v>
      </c>
      <c r="D52" s="22">
        <v>540382.5</v>
      </c>
    </row>
    <row r="53" spans="2:4" x14ac:dyDescent="0.25">
      <c r="B53">
        <v>2</v>
      </c>
      <c r="C53" s="21">
        <v>86428.854820731111</v>
      </c>
      <c r="D53" s="22">
        <v>720510</v>
      </c>
    </row>
    <row r="54" spans="2:4" x14ac:dyDescent="0.25">
      <c r="B54">
        <v>2.5</v>
      </c>
      <c r="C54" s="21">
        <v>113484.57541428682</v>
      </c>
      <c r="D54" s="22">
        <v>900637.5</v>
      </c>
    </row>
    <row r="55" spans="2:4" x14ac:dyDescent="0.25">
      <c r="B55">
        <v>3</v>
      </c>
      <c r="C55" s="21">
        <v>140802.65039550018</v>
      </c>
      <c r="D55" s="22">
        <v>1080765</v>
      </c>
    </row>
    <row r="56" spans="2:4" x14ac:dyDescent="0.25">
      <c r="B56">
        <v>3.5</v>
      </c>
      <c r="C56" s="21">
        <v>168279.47906225969</v>
      </c>
      <c r="D56" s="22">
        <v>1260892.5</v>
      </c>
    </row>
    <row r="57" spans="2:4" x14ac:dyDescent="0.25">
      <c r="B57">
        <v>4</v>
      </c>
      <c r="C57" s="21">
        <v>195859.60999369645</v>
      </c>
      <c r="D57" s="22">
        <v>1441020</v>
      </c>
    </row>
    <row r="58" spans="2:4" x14ac:dyDescent="0.25">
      <c r="B58">
        <v>4.5</v>
      </c>
      <c r="C58" s="21">
        <v>223510.70396615734</v>
      </c>
      <c r="D58" s="22">
        <v>1621147.4999999998</v>
      </c>
    </row>
    <row r="59" spans="2:4" x14ac:dyDescent="0.25">
      <c r="B59">
        <v>5</v>
      </c>
      <c r="C59" s="21">
        <v>251212.63667259185</v>
      </c>
      <c r="D59" s="22">
        <v>1801275</v>
      </c>
    </row>
    <row r="60" spans="2:4" x14ac:dyDescent="0.25">
      <c r="B60">
        <v>5.5</v>
      </c>
      <c r="C60" s="21">
        <v>278952.23221333436</v>
      </c>
      <c r="D60" s="22">
        <v>1981402.4999999998</v>
      </c>
    </row>
    <row r="61" spans="2:4" x14ac:dyDescent="0.25">
      <c r="B61">
        <v>6</v>
      </c>
      <c r="C61" s="21">
        <v>306720.5038146053</v>
      </c>
      <c r="D61" s="22">
        <v>2161530</v>
      </c>
    </row>
    <row r="64" spans="2:4" x14ac:dyDescent="0.25">
      <c r="B64" t="s">
        <v>50</v>
      </c>
      <c r="C64" t="s">
        <v>47</v>
      </c>
    </row>
    <row r="65" spans="1:8" x14ac:dyDescent="0.25">
      <c r="C65" s="15">
        <f>B44</f>
        <v>195859.60999369645</v>
      </c>
    </row>
    <row r="66" spans="1:8" x14ac:dyDescent="0.25">
      <c r="B66" s="29">
        <v>0</v>
      </c>
      <c r="C66" s="21">
        <f t="dataTable" ref="C66:C74" dt2D="0" dtr="0" r1="G5"/>
        <v>195304.42829670262</v>
      </c>
    </row>
    <row r="67" spans="1:8" x14ac:dyDescent="0.25">
      <c r="B67" s="29">
        <v>0.01</v>
      </c>
      <c r="C67" s="21">
        <v>195577.93781451997</v>
      </c>
    </row>
    <row r="68" spans="1:8" x14ac:dyDescent="0.25">
      <c r="B68" s="29">
        <v>0.02</v>
      </c>
      <c r="C68" s="21">
        <v>195859.60999369645</v>
      </c>
    </row>
    <row r="69" spans="1:8" x14ac:dyDescent="0.25">
      <c r="B69" s="29">
        <v>0.03</v>
      </c>
      <c r="C69" s="21">
        <v>196149.66432810377</v>
      </c>
    </row>
    <row r="70" spans="1:8" x14ac:dyDescent="0.25">
      <c r="B70" s="29">
        <v>0.04</v>
      </c>
      <c r="C70" s="21">
        <v>196448.32490756339</v>
      </c>
    </row>
    <row r="71" spans="1:8" x14ac:dyDescent="0.25">
      <c r="B71" s="29">
        <v>0.05</v>
      </c>
      <c r="C71" s="21">
        <v>196755.82048109558</v>
      </c>
    </row>
    <row r="72" spans="1:8" x14ac:dyDescent="0.25">
      <c r="B72" s="29">
        <v>0.06</v>
      </c>
      <c r="C72" s="21">
        <v>197072.38452053518</v>
      </c>
    </row>
    <row r="73" spans="1:8" x14ac:dyDescent="0.25">
      <c r="B73" s="29">
        <v>7.0000000000000007E-2</v>
      </c>
      <c r="C73" s="21">
        <v>197398.25528451585</v>
      </c>
    </row>
    <row r="74" spans="1:8" x14ac:dyDescent="0.25">
      <c r="B74" s="29">
        <v>0.08</v>
      </c>
      <c r="C74" s="21">
        <v>197733.67588281975</v>
      </c>
    </row>
    <row r="76" spans="1:8" x14ac:dyDescent="0.25">
      <c r="A76" t="s">
        <v>52</v>
      </c>
      <c r="D76" t="s">
        <v>51</v>
      </c>
    </row>
    <row r="77" spans="1:8" x14ac:dyDescent="0.25">
      <c r="B77" s="30">
        <v>0</v>
      </c>
      <c r="C77" s="29">
        <v>0.01</v>
      </c>
      <c r="D77" s="29">
        <v>0.02</v>
      </c>
      <c r="E77" s="30">
        <v>0.03</v>
      </c>
      <c r="F77" s="29">
        <v>0.04</v>
      </c>
      <c r="G77" s="29">
        <v>0.05</v>
      </c>
      <c r="H77" s="30">
        <v>0.06</v>
      </c>
    </row>
    <row r="78" spans="1:8" x14ac:dyDescent="0.25">
      <c r="A78" s="15">
        <f>B44</f>
        <v>195859.60999369645</v>
      </c>
      <c r="B78" s="21">
        <f t="dataTable" ref="B78:H78" dt2D="0" dtr="1" r1="G7" ca="1"/>
        <v>179011.06931520472</v>
      </c>
      <c r="C78" s="21">
        <v>183793.10972472251</v>
      </c>
      <c r="D78" s="21">
        <v>188717.86610544502</v>
      </c>
      <c r="E78" s="21">
        <v>193789.17608822227</v>
      </c>
      <c r="F78" s="21">
        <v>199010.957659495</v>
      </c>
      <c r="G78" s="21">
        <v>204387.21026713087</v>
      </c>
      <c r="H78" s="21">
        <v>209922.01593269344</v>
      </c>
    </row>
    <row r="80" spans="1:8" x14ac:dyDescent="0.25">
      <c r="A80" t="s">
        <v>46</v>
      </c>
      <c r="D80" t="s">
        <v>51</v>
      </c>
    </row>
    <row r="81" spans="1:8" x14ac:dyDescent="0.25">
      <c r="A81" s="32">
        <f>B44</f>
        <v>195859.60999369645</v>
      </c>
      <c r="B81" s="29">
        <v>-0.02</v>
      </c>
      <c r="C81" s="29">
        <v>-0.01</v>
      </c>
      <c r="D81" s="29">
        <v>0</v>
      </c>
      <c r="E81" s="29">
        <v>0.01</v>
      </c>
      <c r="F81" s="29">
        <v>0.02</v>
      </c>
      <c r="G81" s="29">
        <v>0.03</v>
      </c>
      <c r="H81" s="29">
        <v>0.04</v>
      </c>
    </row>
    <row r="82" spans="1:8" x14ac:dyDescent="0.25">
      <c r="A82" s="31">
        <v>0.5</v>
      </c>
      <c r="B82" s="21">
        <f t="dataTable" ref="B82:H89" dt2D="1" dtr="1" r1="G7" r2="C7" ca="1"/>
        <v>6356.3293334628434</v>
      </c>
      <c r="C82" s="21">
        <v>6936.8157756019891</v>
      </c>
      <c r="D82" s="21">
        <v>7643.4961859925206</v>
      </c>
      <c r="E82" s="21">
        <v>8513.6541186170853</v>
      </c>
      <c r="F82" s="21">
        <v>9597.7536939440251</v>
      </c>
      <c r="G82" s="21">
        <v>10964.556111716345</v>
      </c>
      <c r="H82" s="21">
        <v>12708.315081237664</v>
      </c>
    </row>
    <row r="83" spans="1:8" x14ac:dyDescent="0.25">
      <c r="A83" s="31">
        <v>1</v>
      </c>
      <c r="B83" s="21">
        <v>22162.073045304009</v>
      </c>
      <c r="C83" s="21">
        <v>23828.967196237423</v>
      </c>
      <c r="D83" s="21">
        <v>25716.886413345899</v>
      </c>
      <c r="E83" s="21">
        <v>27860.540644693381</v>
      </c>
      <c r="F83" s="21">
        <v>30300.477260479944</v>
      </c>
      <c r="G83" s="21">
        <v>33084.077112019106</v>
      </c>
      <c r="H83" s="21">
        <v>36266.718076246601</v>
      </c>
    </row>
    <row r="84" spans="1:8" x14ac:dyDescent="0.25">
      <c r="A84" s="31">
        <v>1.5</v>
      </c>
      <c r="B84" s="21">
        <v>43077.425049443496</v>
      </c>
      <c r="C84" s="21">
        <v>45615.357497974321</v>
      </c>
      <c r="D84" s="21">
        <v>48383.770080321752</v>
      </c>
      <c r="E84" s="21">
        <v>51405.932014243604</v>
      </c>
      <c r="F84" s="21">
        <v>54707.502831809092</v>
      </c>
      <c r="G84" s="21">
        <v>58316.770480874708</v>
      </c>
      <c r="H84" s="21">
        <v>62264.911774667504</v>
      </c>
    </row>
    <row r="85" spans="1:8" x14ac:dyDescent="0.25">
      <c r="A85" s="31">
        <v>2</v>
      </c>
      <c r="B85" s="21">
        <v>66532.440192086506</v>
      </c>
      <c r="C85" s="21">
        <v>69705.565358755528</v>
      </c>
      <c r="D85" s="21">
        <v>73092.967266253952</v>
      </c>
      <c r="E85" s="21">
        <v>76710.026177125168</v>
      </c>
      <c r="F85" s="21">
        <v>80573.198412257712</v>
      </c>
      <c r="G85" s="21">
        <v>84700.086094380546</v>
      </c>
      <c r="H85" s="21">
        <v>89109.510930830147</v>
      </c>
    </row>
    <row r="86" spans="1:8" x14ac:dyDescent="0.25">
      <c r="A86" s="31">
        <v>2.5</v>
      </c>
      <c r="B86" s="21">
        <v>91378.386588339636</v>
      </c>
      <c r="C86" s="21">
        <v>95021.635610282421</v>
      </c>
      <c r="D86" s="21">
        <v>98857.499336063716</v>
      </c>
      <c r="E86" s="21">
        <v>102896.38283455138</v>
      </c>
      <c r="F86" s="21">
        <v>107149.21541235005</v>
      </c>
      <c r="G86" s="21">
        <v>111627.47380092638</v>
      </c>
      <c r="H86" s="21">
        <v>116343.20619676754</v>
      </c>
    </row>
    <row r="87" spans="1:8" x14ac:dyDescent="0.25">
      <c r="A87" s="31">
        <v>3</v>
      </c>
      <c r="B87" s="21">
        <v>117058.83069503197</v>
      </c>
      <c r="C87" s="21">
        <v>121060.36585444992</v>
      </c>
      <c r="D87" s="21">
        <v>125233.29396036474</v>
      </c>
      <c r="E87" s="21">
        <v>129584.83299320657</v>
      </c>
      <c r="F87" s="21">
        <v>134122.47078899186</v>
      </c>
      <c r="G87" s="21">
        <v>138853.97331393752</v>
      </c>
      <c r="H87" s="21">
        <v>143787.39312876333</v>
      </c>
    </row>
    <row r="88" spans="1:8" x14ac:dyDescent="0.25">
      <c r="A88" s="31">
        <v>3.5</v>
      </c>
      <c r="B88" s="21">
        <v>143276.7089593554</v>
      </c>
      <c r="C88" s="21">
        <v>147559.05035210913</v>
      </c>
      <c r="D88" s="21">
        <v>151993.59030224785</v>
      </c>
      <c r="E88" s="21">
        <v>156585.44158799143</v>
      </c>
      <c r="F88" s="21">
        <v>161339.86087843135</v>
      </c>
      <c r="G88" s="21">
        <v>166262.25176644948</v>
      </c>
      <c r="H88" s="21">
        <v>171358.16784153713</v>
      </c>
    </row>
    <row r="89" spans="1:8" x14ac:dyDescent="0.25">
      <c r="A89" s="31">
        <v>4</v>
      </c>
      <c r="B89" s="21">
        <v>169860.18107441845</v>
      </c>
      <c r="C89" s="21">
        <v>174367.98650223701</v>
      </c>
      <c r="D89" s="21">
        <v>179011.06931520472</v>
      </c>
      <c r="E89" s="21">
        <v>183793.10972472251</v>
      </c>
      <c r="F89" s="21">
        <v>188717.86610544502</v>
      </c>
      <c r="G89" s="21">
        <v>193789.17608822227</v>
      </c>
      <c r="H89" s="21">
        <v>199010.957659495</v>
      </c>
    </row>
    <row r="91" spans="1:8" x14ac:dyDescent="0.25">
      <c r="A91" t="s">
        <v>53</v>
      </c>
      <c r="B91" s="11">
        <v>100000</v>
      </c>
    </row>
  </sheetData>
  <conditionalFormatting sqref="B82:H89">
    <cfRule type="cellIs" dxfId="0" priority="2" operator="greaterThan">
      <formula>$B$91</formula>
    </cfRule>
    <cfRule type="cellIs" dxfId="1" priority="1" operator="lessThan">
      <formula>$B$91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2"/>
  <sheetViews>
    <sheetView topLeftCell="A13" zoomScale="160" zoomScaleNormal="160" workbookViewId="0">
      <selection activeCell="E23" sqref="E23"/>
    </sheetView>
  </sheetViews>
  <sheetFormatPr defaultRowHeight="15" x14ac:dyDescent="0.25"/>
  <cols>
    <col min="3" max="3" width="12.5703125" customWidth="1"/>
    <col min="4" max="4" width="11.7109375" customWidth="1"/>
    <col min="5" max="5" width="13.140625" customWidth="1"/>
  </cols>
  <sheetData>
    <row r="3" spans="2:8" x14ac:dyDescent="0.25">
      <c r="C3" t="s">
        <v>19</v>
      </c>
      <c r="D3" t="s">
        <v>20</v>
      </c>
      <c r="E3" t="s">
        <v>21</v>
      </c>
      <c r="H3" t="s">
        <v>22</v>
      </c>
    </row>
    <row r="4" spans="2:8" x14ac:dyDescent="0.25">
      <c r="C4">
        <v>6</v>
      </c>
      <c r="D4">
        <v>0.02</v>
      </c>
      <c r="E4">
        <f>(1+D4)^C4-1</f>
        <v>0.12616241926400007</v>
      </c>
      <c r="H4">
        <f>0.5*E4</f>
        <v>6.3081209632000035E-2</v>
      </c>
    </row>
    <row r="5" spans="2:8" x14ac:dyDescent="0.25">
      <c r="C5">
        <v>10</v>
      </c>
      <c r="D5">
        <v>0.03</v>
      </c>
      <c r="E5">
        <f>(1+D5)^C5-1</f>
        <v>0.34391637934412178</v>
      </c>
    </row>
    <row r="6" spans="2:8" x14ac:dyDescent="0.25">
      <c r="C6">
        <v>30</v>
      </c>
      <c r="D6">
        <v>0.06</v>
      </c>
      <c r="E6">
        <f>(1+D6)^C6-1</f>
        <v>4.7434911729132594</v>
      </c>
    </row>
    <row r="7" spans="2:8" x14ac:dyDescent="0.25">
      <c r="C7">
        <v>0.5</v>
      </c>
      <c r="D7">
        <v>0.1</v>
      </c>
      <c r="E7">
        <f>(1+D7)^C7-1</f>
        <v>4.8808848170151631E-2</v>
      </c>
    </row>
    <row r="13" spans="2:8" x14ac:dyDescent="0.25">
      <c r="D13" t="s">
        <v>21</v>
      </c>
      <c r="E13" t="s">
        <v>31</v>
      </c>
    </row>
    <row r="14" spans="2:8" x14ac:dyDescent="0.25">
      <c r="B14">
        <v>1</v>
      </c>
      <c r="C14" s="11">
        <v>200000</v>
      </c>
      <c r="D14">
        <v>0.05</v>
      </c>
      <c r="E14" s="16">
        <f>NPV(D14,C14)</f>
        <v>190476.19047619047</v>
      </c>
    </row>
    <row r="15" spans="2:8" x14ac:dyDescent="0.25">
      <c r="B15">
        <v>2</v>
      </c>
      <c r="C15" s="11">
        <v>200000</v>
      </c>
      <c r="D15">
        <f>(1+0.05)^B15-1</f>
        <v>0.10250000000000004</v>
      </c>
      <c r="E15" s="16">
        <f>NPV(D15,C15)</f>
        <v>181405.89569160997</v>
      </c>
    </row>
    <row r="16" spans="2:8" x14ac:dyDescent="0.25">
      <c r="B16">
        <v>3</v>
      </c>
      <c r="C16" s="11">
        <v>200000</v>
      </c>
      <c r="D16">
        <f>1.05^B16-1</f>
        <v>0.15762500000000013</v>
      </c>
      <c r="E16" s="16">
        <f>NPV(D16,C16)</f>
        <v>172767.51970629519</v>
      </c>
    </row>
    <row r="17" spans="2:5" x14ac:dyDescent="0.25">
      <c r="B17">
        <v>4</v>
      </c>
      <c r="C17" s="11">
        <v>200000</v>
      </c>
      <c r="D17">
        <f t="shared" ref="D17:D18" si="0">1.05^B17-1</f>
        <v>0.21550625000000001</v>
      </c>
      <c r="E17" s="16">
        <f t="shared" ref="E17:E18" si="1">NPV(D17,C17)</f>
        <v>164540.4949583764</v>
      </c>
    </row>
    <row r="18" spans="2:5" x14ac:dyDescent="0.25">
      <c r="B18">
        <v>5</v>
      </c>
      <c r="C18" s="11">
        <v>200000</v>
      </c>
      <c r="D18">
        <f t="shared" si="0"/>
        <v>0.27628156250000013</v>
      </c>
      <c r="E18" s="16">
        <f t="shared" si="1"/>
        <v>156705.2332936918</v>
      </c>
    </row>
    <row r="20" spans="2:5" x14ac:dyDescent="0.25">
      <c r="E20" s="16">
        <f>SUM(E14:E18)</f>
        <v>865895.33412616386</v>
      </c>
    </row>
    <row r="22" spans="2:5" x14ac:dyDescent="0.25">
      <c r="E22" s="16">
        <f>NPV(0.05,C14:C18)</f>
        <v>865895.33412616386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0"/>
  <sheetViews>
    <sheetView zoomScale="150" zoomScaleNormal="150" workbookViewId="0">
      <selection activeCell="F9" sqref="F9"/>
    </sheetView>
  </sheetViews>
  <sheetFormatPr defaultRowHeight="15" x14ac:dyDescent="0.25"/>
  <cols>
    <col min="1" max="1" width="14.5703125" customWidth="1"/>
    <col min="2" max="2" width="14.28515625" bestFit="1" customWidth="1"/>
    <col min="6" max="6" width="14.28515625" bestFit="1" customWidth="1"/>
  </cols>
  <sheetData>
    <row r="3" spans="1:6" x14ac:dyDescent="0.25">
      <c r="A3" t="s">
        <v>28</v>
      </c>
      <c r="B3">
        <f>(1+0.05)^5-1</f>
        <v>0.27628156250000013</v>
      </c>
    </row>
    <row r="5" spans="1:6" x14ac:dyDescent="0.25">
      <c r="A5" t="s">
        <v>29</v>
      </c>
      <c r="B5" t="s">
        <v>30</v>
      </c>
    </row>
    <row r="6" spans="1:6" x14ac:dyDescent="0.25">
      <c r="A6" s="11">
        <v>1000000</v>
      </c>
      <c r="B6" s="11">
        <f>A6*(1+B3)</f>
        <v>1276281.5625000002</v>
      </c>
      <c r="E6" t="s">
        <v>30</v>
      </c>
      <c r="F6" s="11">
        <v>1200000</v>
      </c>
    </row>
    <row r="8" spans="1:6" x14ac:dyDescent="0.25">
      <c r="A8" t="s">
        <v>20</v>
      </c>
      <c r="B8">
        <v>0.05</v>
      </c>
      <c r="E8" t="s">
        <v>31</v>
      </c>
      <c r="F8" s="16">
        <f>NPV(B3,F6)</f>
        <v>940231.39976215072</v>
      </c>
    </row>
    <row r="10" spans="1:6" x14ac:dyDescent="0.25">
      <c r="A10" t="s">
        <v>31</v>
      </c>
      <c r="B10" s="16">
        <f>NPV(B3,B6)</f>
        <v>1000000.0000000001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2015-01-22T15:52:37Z</dcterms:created>
  <dcterms:modified xsi:type="dcterms:W3CDTF">2015-02-12T15:48:27Z</dcterms:modified>
</cp:coreProperties>
</file>